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WI worksheet" sheetId="1" r:id="rId1"/>
  </sheets>
  <calcPr calcId="125725"/>
</workbook>
</file>

<file path=xl/calcChain.xml><?xml version="1.0" encoding="utf-8"?>
<calcChain xmlns="http://schemas.openxmlformats.org/spreadsheetml/2006/main">
  <c r="B12" i="1"/>
  <c r="B14" s="1"/>
  <c r="B10"/>
  <c r="B9"/>
  <c r="O26" s="1"/>
  <c r="B6"/>
  <c r="B33" s="1"/>
  <c r="B5"/>
  <c r="F26" l="1"/>
  <c r="N26"/>
  <c r="B8"/>
  <c r="B7" s="1"/>
  <c r="B11" s="1"/>
  <c r="B13" s="1"/>
  <c r="E26"/>
  <c r="I26"/>
  <c r="M26"/>
  <c r="B26"/>
  <c r="J26"/>
  <c r="B18"/>
  <c r="D26"/>
  <c r="H26"/>
  <c r="L26"/>
  <c r="C26"/>
  <c r="G26"/>
  <c r="K26"/>
  <c r="B25" l="1"/>
  <c r="C18"/>
  <c r="C29"/>
  <c r="C34" s="1"/>
  <c r="B29"/>
  <c r="B34" s="1"/>
  <c r="B27" l="1"/>
  <c r="B20"/>
  <c r="B19" s="1"/>
  <c r="B24"/>
  <c r="C21"/>
  <c r="C22"/>
  <c r="D18"/>
  <c r="C25"/>
  <c r="B22"/>
  <c r="B21"/>
  <c r="E18" l="1"/>
  <c r="D25"/>
  <c r="D29"/>
  <c r="D34" s="1"/>
  <c r="C24"/>
  <c r="C27"/>
  <c r="C20" s="1"/>
  <c r="C19" s="1"/>
  <c r="E25" l="1"/>
  <c r="F18"/>
  <c r="E29"/>
  <c r="E34" s="1"/>
  <c r="D24"/>
  <c r="D27"/>
  <c r="D20" s="1"/>
  <c r="D19" s="1"/>
  <c r="D21"/>
  <c r="D22"/>
  <c r="F25" l="1"/>
  <c r="G18"/>
  <c r="F29"/>
  <c r="F34" s="1"/>
  <c r="E22"/>
  <c r="E21"/>
  <c r="E27"/>
  <c r="E20"/>
  <c r="E19" s="1"/>
  <c r="E24"/>
  <c r="F27" l="1"/>
  <c r="F20" s="1"/>
  <c r="F19" s="1"/>
  <c r="F24"/>
  <c r="G25"/>
  <c r="H18"/>
  <c r="G29"/>
  <c r="G34" s="1"/>
  <c r="F22"/>
  <c r="F21"/>
  <c r="G21" l="1"/>
  <c r="G22"/>
  <c r="I18"/>
  <c r="H25"/>
  <c r="H29"/>
  <c r="H34" s="1"/>
  <c r="G24"/>
  <c r="G27"/>
  <c r="G20" s="1"/>
  <c r="G19" s="1"/>
  <c r="H21" l="1"/>
  <c r="H22"/>
  <c r="I25"/>
  <c r="J18"/>
  <c r="I29"/>
  <c r="I34" s="1"/>
  <c r="H24"/>
  <c r="H20" s="1"/>
  <c r="H19" s="1"/>
  <c r="H27"/>
  <c r="I27" l="1"/>
  <c r="I20" s="1"/>
  <c r="I19" s="1"/>
  <c r="I24"/>
  <c r="I22"/>
  <c r="I21"/>
  <c r="J25"/>
  <c r="K18"/>
  <c r="J29"/>
  <c r="J34" s="1"/>
  <c r="J27" l="1"/>
  <c r="J20" s="1"/>
  <c r="J19" s="1"/>
  <c r="J24"/>
  <c r="L18"/>
  <c r="K25"/>
  <c r="K29"/>
  <c r="K34" s="1"/>
  <c r="J22"/>
  <c r="J21"/>
  <c r="K24" l="1"/>
  <c r="K27"/>
  <c r="K20" s="1"/>
  <c r="K19" s="1"/>
  <c r="K21"/>
  <c r="K22"/>
  <c r="M18"/>
  <c r="L25"/>
  <c r="L29"/>
  <c r="L34" s="1"/>
  <c r="M25" l="1"/>
  <c r="N18"/>
  <c r="M29"/>
  <c r="M34" s="1"/>
  <c r="L24"/>
  <c r="L27"/>
  <c r="L20" s="1"/>
  <c r="L19" s="1"/>
  <c r="L21"/>
  <c r="L22"/>
  <c r="N25" l="1"/>
  <c r="O18"/>
  <c r="N29"/>
  <c r="N34" s="1"/>
  <c r="M22"/>
  <c r="M21"/>
  <c r="M27"/>
  <c r="M20" s="1"/>
  <c r="M19" s="1"/>
  <c r="M24"/>
  <c r="N27" l="1"/>
  <c r="N20" s="1"/>
  <c r="N19" s="1"/>
  <c r="N24"/>
  <c r="O25"/>
  <c r="O29"/>
  <c r="O34" s="1"/>
  <c r="N22"/>
  <c r="N21"/>
  <c r="O21" l="1"/>
  <c r="O22"/>
  <c r="O24"/>
  <c r="O27"/>
  <c r="O20"/>
  <c r="O19" s="1"/>
</calcChain>
</file>

<file path=xl/comments1.xml><?xml version="1.0" encoding="utf-8"?>
<comments xmlns="http://schemas.openxmlformats.org/spreadsheetml/2006/main">
  <authors>
    <author>Thomas Chappenden</author>
  </authors>
  <commentList>
    <comment ref="B5" authorId="0">
      <text>
        <r>
          <rPr>
            <b/>
            <sz val="9"/>
            <color indexed="81"/>
            <rFont val="Tahoma"/>
            <family val="2"/>
          </rPr>
          <t>Thomas Chappenden:</t>
        </r>
        <r>
          <rPr>
            <sz val="9"/>
            <color indexed="81"/>
            <rFont val="Tahoma"/>
            <family val="2"/>
          </rPr>
          <t xml:space="preserve">
620cc/min x4 @ 70% duty
0.75kg/L density</t>
        </r>
      </text>
    </comment>
  </commentList>
</comments>
</file>

<file path=xl/sharedStrings.xml><?xml version="1.0" encoding="utf-8"?>
<sst xmlns="http://schemas.openxmlformats.org/spreadsheetml/2006/main" count="44" uniqueCount="38">
  <si>
    <t>SC Temperature Input Data</t>
  </si>
  <si>
    <t>Inputs</t>
  </si>
  <si>
    <t>Temps in DegC</t>
  </si>
  <si>
    <t>Ambient air temp</t>
  </si>
  <si>
    <t>DegC</t>
  </si>
  <si>
    <t>INPUT</t>
  </si>
  <si>
    <t>Ambient</t>
  </si>
  <si>
    <t>SC outlet</t>
  </si>
  <si>
    <t>Intercooler outlet</t>
  </si>
  <si>
    <t>Mass flow rate</t>
  </si>
  <si>
    <t>M^3/hour</t>
  </si>
  <si>
    <t>Mass flow rate of petrol (kg/s)</t>
  </si>
  <si>
    <t>Supercharger outlet temp</t>
  </si>
  <si>
    <t>Cp=</t>
  </si>
  <si>
    <t>Th=</t>
  </si>
  <si>
    <t>K</t>
  </si>
  <si>
    <t>m=</t>
  </si>
  <si>
    <t>Kg/s</t>
  </si>
  <si>
    <t>Intercooler outlet temp</t>
  </si>
  <si>
    <t>Q</t>
  </si>
  <si>
    <t>Charge cooler coolant temp</t>
  </si>
  <si>
    <t>degC</t>
  </si>
  <si>
    <t>Target 25 / 30% Water mass by fuel</t>
  </si>
  <si>
    <t>Q Gradient</t>
  </si>
  <si>
    <t>Constant</t>
  </si>
  <si>
    <t>OUTPUTS</t>
  </si>
  <si>
    <t>Altered sc outlet temp (DegC)</t>
  </si>
  <si>
    <t>New intercooler outlet degC</t>
  </si>
  <si>
    <t>New intercooler outlet K</t>
  </si>
  <si>
    <t>Volumetic flow rate of water (cc/min)</t>
  </si>
  <si>
    <t>Fuel / Water ratio (%) by weight</t>
  </si>
  <si>
    <t>Q=</t>
  </si>
  <si>
    <t>KJ energy removed from SC charge</t>
  </si>
  <si>
    <t>Temperature of water injected (degC)</t>
  </si>
  <si>
    <t>CP of water (KJ/Kg/K)</t>
  </si>
  <si>
    <t>Latent heat of vapourisation (KJ/Kg)</t>
  </si>
  <si>
    <t>KJ absorbtion potential of Kg water</t>
  </si>
  <si>
    <t>Mass flow rate of water req (Kg/s)</t>
  </si>
</sst>
</file>

<file path=xl/styles.xml><?xml version="1.0" encoding="utf-8"?>
<styleSheet xmlns="http://schemas.openxmlformats.org/spreadsheetml/2006/main">
  <numFmts count="2">
    <numFmt numFmtId="164" formatCode="0.0%"/>
    <numFmt numFmtId="165" formatCode="0.000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0" borderId="0" xfId="0" applyFont="1" applyBorder="1"/>
    <xf numFmtId="0" fontId="0" fillId="0" borderId="0" xfId="0" applyBorder="1"/>
    <xf numFmtId="0" fontId="3" fillId="2" borderId="4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0" fillId="0" borderId="6" xfId="0" applyBorder="1"/>
    <xf numFmtId="0" fontId="0" fillId="3" borderId="6" xfId="0" applyFill="1" applyBorder="1"/>
    <xf numFmtId="0" fontId="0" fillId="3" borderId="0" xfId="0" applyFill="1"/>
    <xf numFmtId="0" fontId="1" fillId="2" borderId="7" xfId="0" applyFont="1" applyFill="1" applyBorder="1"/>
    <xf numFmtId="0" fontId="1" fillId="2" borderId="8" xfId="0" applyFont="1" applyFill="1" applyBorder="1"/>
    <xf numFmtId="0" fontId="1" fillId="2" borderId="9" xfId="0" applyFont="1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13" xfId="0" applyBorder="1"/>
    <xf numFmtId="0" fontId="0" fillId="0" borderId="6" xfId="0" applyFill="1" applyBorder="1"/>
    <xf numFmtId="0" fontId="0" fillId="0" borderId="14" xfId="0" applyFill="1" applyBorder="1"/>
    <xf numFmtId="0" fontId="1" fillId="4" borderId="13" xfId="0" applyFont="1" applyFill="1" applyBorder="1"/>
    <xf numFmtId="2" fontId="0" fillId="4" borderId="6" xfId="0" applyNumberFormat="1" applyFill="1" applyBorder="1"/>
    <xf numFmtId="2" fontId="0" fillId="4" borderId="14" xfId="0" applyNumberFormat="1" applyFill="1" applyBorder="1"/>
    <xf numFmtId="0" fontId="0" fillId="0" borderId="0" xfId="0" applyFill="1"/>
    <xf numFmtId="0" fontId="1" fillId="0" borderId="13" xfId="0" applyFont="1" applyFill="1" applyBorder="1"/>
    <xf numFmtId="2" fontId="0" fillId="0" borderId="6" xfId="0" applyNumberFormat="1" applyFill="1" applyBorder="1"/>
    <xf numFmtId="2" fontId="0" fillId="0" borderId="14" xfId="0" applyNumberFormat="1" applyFill="1" applyBorder="1"/>
    <xf numFmtId="0" fontId="1" fillId="5" borderId="13" xfId="0" applyFont="1" applyFill="1" applyBorder="1"/>
    <xf numFmtId="2" fontId="0" fillId="5" borderId="6" xfId="0" applyNumberFormat="1" applyFill="1" applyBorder="1"/>
    <xf numFmtId="2" fontId="0" fillId="5" borderId="14" xfId="0" applyNumberFormat="1" applyFill="1" applyBorder="1"/>
    <xf numFmtId="0" fontId="1" fillId="6" borderId="15" xfId="0" applyFont="1" applyFill="1" applyBorder="1"/>
    <xf numFmtId="164" fontId="0" fillId="6" borderId="16" xfId="0" applyNumberFormat="1" applyFill="1" applyBorder="1"/>
    <xf numFmtId="164" fontId="0" fillId="6" borderId="17" xfId="0" applyNumberFormat="1" applyFill="1" applyBorder="1"/>
    <xf numFmtId="2" fontId="0" fillId="0" borderId="0" xfId="0" applyNumberFormat="1" applyFill="1"/>
    <xf numFmtId="2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title>
      <c:tx>
        <c:rich>
          <a:bodyPr/>
          <a:lstStyle/>
          <a:p>
            <a:pPr>
              <a:defRPr/>
            </a:pPr>
            <a:r>
              <a:rPr lang="en-US"/>
              <a:t>Intercooler</a:t>
            </a:r>
            <a:r>
              <a:rPr lang="en-US" baseline="0"/>
              <a:t> Outlet Temperature Vs Altered SC Outlet Temperature</a:t>
            </a:r>
            <a:endParaRPr lang="en-US"/>
          </a:p>
        </c:rich>
      </c:tx>
      <c:layout/>
    </c:title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</c:trendline>
          <c:xVal>
            <c:numRef>
              <c:f>'WI worksheet'!$B$18:$O$18</c:f>
              <c:numCache>
                <c:formatCode>General</c:formatCode>
                <c:ptCount val="14"/>
                <c:pt idx="0">
                  <c:v>35</c:v>
                </c:pt>
                <c:pt idx="1">
                  <c:v>40</c:v>
                </c:pt>
                <c:pt idx="2">
                  <c:v>45</c:v>
                </c:pt>
                <c:pt idx="3">
                  <c:v>50</c:v>
                </c:pt>
                <c:pt idx="4">
                  <c:v>55</c:v>
                </c:pt>
                <c:pt idx="5">
                  <c:v>60</c:v>
                </c:pt>
                <c:pt idx="6">
                  <c:v>65</c:v>
                </c:pt>
                <c:pt idx="7">
                  <c:v>70</c:v>
                </c:pt>
                <c:pt idx="8">
                  <c:v>75</c:v>
                </c:pt>
                <c:pt idx="9">
                  <c:v>80</c:v>
                </c:pt>
                <c:pt idx="10">
                  <c:v>85</c:v>
                </c:pt>
                <c:pt idx="11">
                  <c:v>90</c:v>
                </c:pt>
                <c:pt idx="12">
                  <c:v>95</c:v>
                </c:pt>
                <c:pt idx="13">
                  <c:v>100</c:v>
                </c:pt>
              </c:numCache>
            </c:numRef>
          </c:xVal>
          <c:yVal>
            <c:numRef>
              <c:f>'WI worksheet'!$B$19:$O$19</c:f>
              <c:numCache>
                <c:formatCode>0.00</c:formatCode>
                <c:ptCount val="14"/>
                <c:pt idx="0">
                  <c:v>35</c:v>
                </c:pt>
                <c:pt idx="1">
                  <c:v>36.093849181010853</c:v>
                </c:pt>
                <c:pt idx="2">
                  <c:v>37.193606189638047</c:v>
                </c:pt>
                <c:pt idx="3">
                  <c:v>38.299316305827517</c:v>
                </c:pt>
                <c:pt idx="4">
                  <c:v>39.411023706216952</c:v>
                </c:pt>
                <c:pt idx="5">
                  <c:v>40.528771469139485</c:v>
                </c:pt>
                <c:pt idx="6">
                  <c:v>41.652601579729719</c:v>
                </c:pt>
                <c:pt idx="7">
                  <c:v>42.782554935129951</c:v>
                </c:pt>
                <c:pt idx="8">
                  <c:v>43.91867134979276</c:v>
                </c:pt>
                <c:pt idx="9">
                  <c:v>45.060989560877317</c:v>
                </c:pt>
                <c:pt idx="10">
                  <c:v>46.209547233736942</c:v>
                </c:pt>
                <c:pt idx="11">
                  <c:v>47.364380967493844</c:v>
                </c:pt>
                <c:pt idx="12">
                  <c:v>48.525526300699653</c:v>
                </c:pt>
                <c:pt idx="13">
                  <c:v>49.693017717077225</c:v>
                </c:pt>
              </c:numCache>
            </c:numRef>
          </c:yVal>
        </c:ser>
        <c:axId val="84771200"/>
        <c:axId val="84773120"/>
      </c:scatterChart>
      <c:valAx>
        <c:axId val="84771200"/>
        <c:scaling>
          <c:orientation val="minMax"/>
        </c:scaling>
        <c:axPos val="b"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Altered SC Outlet</a:t>
                </a:r>
                <a:r>
                  <a:rPr lang="en-GB" baseline="0"/>
                  <a:t> Temperature </a:t>
                </a:r>
                <a:r>
                  <a:rPr lang="en-GB"/>
                  <a:t>(DegC)</a:t>
                </a:r>
              </a:p>
            </c:rich>
          </c:tx>
          <c:layout/>
        </c:title>
        <c:numFmt formatCode="General" sourceLinked="1"/>
        <c:tickLblPos val="nextTo"/>
        <c:crossAx val="84773120"/>
        <c:crosses val="autoZero"/>
        <c:crossBetween val="midCat"/>
        <c:majorUnit val="10"/>
        <c:minorUnit val="5"/>
      </c:valAx>
      <c:valAx>
        <c:axId val="84773120"/>
        <c:scaling>
          <c:orientation val="minMax"/>
        </c:scaling>
        <c:axPos val="l"/>
        <c:majorGridlines/>
        <c:min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Intercooler Outlet Temperature (DegC)</a:t>
                </a:r>
              </a:p>
            </c:rich>
          </c:tx>
          <c:layout>
            <c:manualLayout>
              <c:xMode val="edge"/>
              <c:yMode val="edge"/>
              <c:x val="2.5000000000000001E-2"/>
              <c:y val="0.10684055118110242"/>
            </c:manualLayout>
          </c:layout>
        </c:title>
        <c:numFmt formatCode="0" sourceLinked="0"/>
        <c:tickLblPos val="nextTo"/>
        <c:crossAx val="84771200"/>
        <c:crosses val="autoZero"/>
        <c:crossBetween val="midCat"/>
        <c:minorUnit val="5"/>
      </c:valAx>
    </c:plotArea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318559</xdr:colOff>
      <xdr:row>0</xdr:row>
      <xdr:rowOff>1</xdr:rowOff>
    </xdr:from>
    <xdr:to>
      <xdr:col>14</xdr:col>
      <xdr:colOff>99484</xdr:colOff>
      <xdr:row>15</xdr:row>
      <xdr:rowOff>95251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34"/>
  <sheetViews>
    <sheetView tabSelected="1" zoomScale="90" zoomScaleNormal="90" workbookViewId="0">
      <selection activeCell="R25" sqref="R25"/>
    </sheetView>
  </sheetViews>
  <sheetFormatPr defaultRowHeight="15"/>
  <cols>
    <col min="1" max="1" width="34.5703125" customWidth="1"/>
    <col min="7" max="7" width="16.7109375" customWidth="1"/>
    <col min="8" max="8" width="17" customWidth="1"/>
  </cols>
  <sheetData>
    <row r="1" spans="1:7">
      <c r="E1" s="1" t="s">
        <v>0</v>
      </c>
      <c r="F1" s="2"/>
      <c r="G1" s="3"/>
    </row>
    <row r="2" spans="1:7" ht="15.75" thickBot="1">
      <c r="A2" s="4" t="s">
        <v>1</v>
      </c>
      <c r="B2" s="5"/>
      <c r="C2" s="5"/>
      <c r="E2" s="6" t="s">
        <v>2</v>
      </c>
      <c r="F2" s="7"/>
      <c r="G2" s="8"/>
    </row>
    <row r="3" spans="1:7" ht="15.75" thickBot="1">
      <c r="A3" s="9" t="s">
        <v>3</v>
      </c>
      <c r="B3" s="10">
        <v>30</v>
      </c>
      <c r="C3" s="10" t="s">
        <v>4</v>
      </c>
      <c r="D3" s="11" t="s">
        <v>5</v>
      </c>
      <c r="E3" s="12" t="s">
        <v>6</v>
      </c>
      <c r="F3" s="13" t="s">
        <v>7</v>
      </c>
      <c r="G3" s="14" t="s">
        <v>8</v>
      </c>
    </row>
    <row r="4" spans="1:7">
      <c r="A4" s="9" t="s">
        <v>9</v>
      </c>
      <c r="B4" s="10">
        <v>911</v>
      </c>
      <c r="C4" s="10" t="s">
        <v>10</v>
      </c>
      <c r="D4" s="11" t="s">
        <v>5</v>
      </c>
      <c r="E4" s="15">
        <v>5</v>
      </c>
      <c r="F4" s="16">
        <v>115</v>
      </c>
      <c r="G4" s="17">
        <v>29</v>
      </c>
    </row>
    <row r="5" spans="1:7">
      <c r="A5" t="s">
        <v>11</v>
      </c>
      <c r="B5">
        <f>((0.62*4*0.7)/60)*0.75</f>
        <v>2.1699999999999997E-2</v>
      </c>
      <c r="E5" s="18">
        <v>10</v>
      </c>
      <c r="F5" s="19">
        <v>120</v>
      </c>
      <c r="G5" s="20">
        <v>34</v>
      </c>
    </row>
    <row r="6" spans="1:7">
      <c r="A6" t="s">
        <v>12</v>
      </c>
      <c r="B6">
        <f>VLOOKUP(B3,E4:G10,2,FALSE)</f>
        <v>143</v>
      </c>
      <c r="C6" t="s">
        <v>4</v>
      </c>
      <c r="E6" s="18">
        <v>15</v>
      </c>
      <c r="F6" s="19">
        <v>125</v>
      </c>
      <c r="G6" s="20">
        <v>39</v>
      </c>
    </row>
    <row r="7" spans="1:7">
      <c r="A7" t="s">
        <v>13</v>
      </c>
      <c r="B7">
        <f>((28.11+(0.001967*B8))+(0.000004802*B8^2)+(-0.000000001966*B8^3))/28.84</f>
        <v>1.02696782330319</v>
      </c>
      <c r="E7" s="18">
        <v>20</v>
      </c>
      <c r="F7" s="19">
        <v>130</v>
      </c>
      <c r="G7" s="20">
        <v>44</v>
      </c>
    </row>
    <row r="8" spans="1:7">
      <c r="A8" t="s">
        <v>14</v>
      </c>
      <c r="B8">
        <f>B6+273</f>
        <v>416</v>
      </c>
      <c r="C8" t="s">
        <v>15</v>
      </c>
      <c r="E8" s="18">
        <v>25</v>
      </c>
      <c r="F8" s="19">
        <v>137</v>
      </c>
      <c r="G8" s="20">
        <v>49</v>
      </c>
    </row>
    <row r="9" spans="1:7">
      <c r="A9" t="s">
        <v>16</v>
      </c>
      <c r="B9">
        <f>B4*1.2/3600</f>
        <v>0.3036666666666667</v>
      </c>
      <c r="C9" t="s">
        <v>17</v>
      </c>
      <c r="E9" s="18">
        <v>30</v>
      </c>
      <c r="F9" s="19">
        <v>143</v>
      </c>
      <c r="G9" s="20">
        <v>60</v>
      </c>
    </row>
    <row r="10" spans="1:7" ht="15.75" thickBot="1">
      <c r="A10" t="s">
        <v>18</v>
      </c>
      <c r="B10">
        <f>VLOOKUP(B3,E4:G10,3,FALSE)+273</f>
        <v>333</v>
      </c>
      <c r="C10" t="s">
        <v>15</v>
      </c>
      <c r="E10" s="21">
        <v>35</v>
      </c>
      <c r="F10" s="22">
        <v>148</v>
      </c>
      <c r="G10" s="23">
        <v>67</v>
      </c>
    </row>
    <row r="11" spans="1:7">
      <c r="A11" t="s">
        <v>19</v>
      </c>
      <c r="B11">
        <f>B9*B7*(B8-B10)</f>
        <v>25.884039341141374</v>
      </c>
    </row>
    <row r="12" spans="1:7">
      <c r="A12" t="s">
        <v>20</v>
      </c>
      <c r="B12">
        <f>B3+5</f>
        <v>35</v>
      </c>
      <c r="C12" t="s">
        <v>21</v>
      </c>
      <c r="E12" s="24" t="s">
        <v>22</v>
      </c>
      <c r="F12" s="24"/>
      <c r="G12" s="24"/>
    </row>
    <row r="13" spans="1:7">
      <c r="A13" t="s">
        <v>23</v>
      </c>
      <c r="B13">
        <f>(B6-B12)/B11</f>
        <v>4.172455410710934</v>
      </c>
      <c r="E13" s="24"/>
      <c r="F13" s="24"/>
      <c r="G13" s="24"/>
    </row>
    <row r="14" spans="1:7">
      <c r="A14" t="s">
        <v>24</v>
      </c>
      <c r="B14">
        <f>B12+273</f>
        <v>308</v>
      </c>
      <c r="E14" s="24"/>
      <c r="F14" s="24"/>
      <c r="G14" s="24"/>
    </row>
    <row r="15" spans="1:7">
      <c r="E15" s="25"/>
      <c r="F15" s="25"/>
      <c r="G15" s="25"/>
    </row>
    <row r="16" spans="1:7" ht="15.75" thickBot="1">
      <c r="E16" s="25"/>
      <c r="F16" s="25"/>
      <c r="G16" s="25"/>
    </row>
    <row r="17" spans="1:23">
      <c r="A17" s="26" t="s">
        <v>25</v>
      </c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8"/>
    </row>
    <row r="18" spans="1:23">
      <c r="A18" s="29" t="s">
        <v>26</v>
      </c>
      <c r="B18" s="30">
        <f>B12</f>
        <v>35</v>
      </c>
      <c r="C18" s="30">
        <f>B18+5</f>
        <v>40</v>
      </c>
      <c r="D18" s="30">
        <f t="shared" ref="D18:O18" si="0">C18+5</f>
        <v>45</v>
      </c>
      <c r="E18" s="30">
        <f t="shared" si="0"/>
        <v>50</v>
      </c>
      <c r="F18" s="30">
        <f t="shared" si="0"/>
        <v>55</v>
      </c>
      <c r="G18" s="30">
        <f t="shared" si="0"/>
        <v>60</v>
      </c>
      <c r="H18" s="30">
        <f t="shared" si="0"/>
        <v>65</v>
      </c>
      <c r="I18" s="30">
        <f t="shared" si="0"/>
        <v>70</v>
      </c>
      <c r="J18" s="30">
        <f t="shared" si="0"/>
        <v>75</v>
      </c>
      <c r="K18" s="30">
        <f t="shared" si="0"/>
        <v>80</v>
      </c>
      <c r="L18" s="30">
        <f t="shared" si="0"/>
        <v>85</v>
      </c>
      <c r="M18" s="30">
        <f t="shared" si="0"/>
        <v>90</v>
      </c>
      <c r="N18" s="30">
        <f t="shared" si="0"/>
        <v>95</v>
      </c>
      <c r="O18" s="31">
        <f t="shared" si="0"/>
        <v>100</v>
      </c>
    </row>
    <row r="19" spans="1:23">
      <c r="A19" s="32" t="s">
        <v>27</v>
      </c>
      <c r="B19" s="33">
        <f t="shared" ref="B19:O19" si="1">B20-273</f>
        <v>35</v>
      </c>
      <c r="C19" s="33">
        <f t="shared" si="1"/>
        <v>36.093849181010853</v>
      </c>
      <c r="D19" s="33">
        <f t="shared" si="1"/>
        <v>37.193606189638047</v>
      </c>
      <c r="E19" s="33">
        <f t="shared" si="1"/>
        <v>38.299316305827517</v>
      </c>
      <c r="F19" s="33">
        <f t="shared" si="1"/>
        <v>39.411023706216952</v>
      </c>
      <c r="G19" s="33">
        <f t="shared" si="1"/>
        <v>40.528771469139485</v>
      </c>
      <c r="H19" s="33">
        <f t="shared" si="1"/>
        <v>41.652601579729719</v>
      </c>
      <c r="I19" s="33">
        <f t="shared" si="1"/>
        <v>42.782554935129951</v>
      </c>
      <c r="J19" s="33">
        <f t="shared" si="1"/>
        <v>43.91867134979276</v>
      </c>
      <c r="K19" s="33">
        <f t="shared" si="1"/>
        <v>45.060989560877317</v>
      </c>
      <c r="L19" s="33">
        <f t="shared" si="1"/>
        <v>46.209547233736942</v>
      </c>
      <c r="M19" s="33">
        <f t="shared" si="1"/>
        <v>47.364380967493844</v>
      </c>
      <c r="N19" s="33">
        <f t="shared" si="1"/>
        <v>48.525526300699653</v>
      </c>
      <c r="O19" s="34">
        <f t="shared" si="1"/>
        <v>49.693017717077225</v>
      </c>
      <c r="P19" s="35"/>
    </row>
    <row r="20" spans="1:23">
      <c r="A20" s="36" t="s">
        <v>28</v>
      </c>
      <c r="B20" s="37">
        <f t="shared" ref="B20:O20" si="2">B25-(B27/(B26*B24))</f>
        <v>308</v>
      </c>
      <c r="C20" s="37">
        <f t="shared" si="2"/>
        <v>309.09384918101085</v>
      </c>
      <c r="D20" s="37">
        <f t="shared" si="2"/>
        <v>310.19360618963805</v>
      </c>
      <c r="E20" s="37">
        <f t="shared" si="2"/>
        <v>311.29931630582752</v>
      </c>
      <c r="F20" s="37">
        <f t="shared" si="2"/>
        <v>312.41102370621695</v>
      </c>
      <c r="G20" s="37">
        <f t="shared" si="2"/>
        <v>313.52877146913949</v>
      </c>
      <c r="H20" s="37">
        <f t="shared" si="2"/>
        <v>314.65260157972972</v>
      </c>
      <c r="I20" s="37">
        <f t="shared" si="2"/>
        <v>315.78255493512995</v>
      </c>
      <c r="J20" s="37">
        <f t="shared" si="2"/>
        <v>316.91867134979276</v>
      </c>
      <c r="K20" s="37">
        <f t="shared" si="2"/>
        <v>318.06098956087732</v>
      </c>
      <c r="L20" s="37">
        <f t="shared" si="2"/>
        <v>319.20954723373694</v>
      </c>
      <c r="M20" s="37">
        <f t="shared" si="2"/>
        <v>320.36438096749384</v>
      </c>
      <c r="N20" s="37">
        <f t="shared" si="2"/>
        <v>321.52552630069965</v>
      </c>
      <c r="O20" s="38">
        <f t="shared" si="2"/>
        <v>322.69301771707723</v>
      </c>
    </row>
    <row r="21" spans="1:23">
      <c r="A21" s="39" t="s">
        <v>29</v>
      </c>
      <c r="B21" s="40">
        <f>B34*1000*60</f>
        <v>733.35251995321732</v>
      </c>
      <c r="C21" s="40">
        <f>C34*1000*60</f>
        <v>699.40101439982743</v>
      </c>
      <c r="D21" s="40">
        <f>D34*1000*60</f>
        <v>665.44950884643788</v>
      </c>
      <c r="E21" s="40">
        <f>E34*1000*60</f>
        <v>631.49800329304821</v>
      </c>
      <c r="F21" s="40">
        <f>F34*1000*60</f>
        <v>597.54649773965843</v>
      </c>
      <c r="G21" s="40">
        <f>G34*1000*60</f>
        <v>563.59499218626877</v>
      </c>
      <c r="H21" s="40">
        <f>H34*1000*60</f>
        <v>529.64348663287922</v>
      </c>
      <c r="I21" s="40">
        <f>I34*1000*60</f>
        <v>495.69198107948944</v>
      </c>
      <c r="J21" s="40">
        <f>J34*1000*60</f>
        <v>461.74047552609966</v>
      </c>
      <c r="K21" s="40">
        <f>K34*1000*60</f>
        <v>427.78896997270999</v>
      </c>
      <c r="L21" s="40">
        <f>L34*1000*60</f>
        <v>393.83746441932033</v>
      </c>
      <c r="M21" s="40">
        <f>M34*1000*60</f>
        <v>359.88595886593066</v>
      </c>
      <c r="N21" s="40">
        <f>N34*1000*60</f>
        <v>325.934453312541</v>
      </c>
      <c r="O21" s="41">
        <f>O34*1000*60</f>
        <v>291.98294775915133</v>
      </c>
    </row>
    <row r="22" spans="1:23" ht="15.75" thickBot="1">
      <c r="A22" s="42" t="s">
        <v>30</v>
      </c>
      <c r="B22" s="43">
        <f>B34/$B$5</f>
        <v>0.56325078337420686</v>
      </c>
      <c r="C22" s="43">
        <f>C34/$B$5</f>
        <v>0.53717435821799353</v>
      </c>
      <c r="D22" s="43">
        <f>D34/$B$5</f>
        <v>0.51109793306178031</v>
      </c>
      <c r="E22" s="43">
        <f>E34/$B$5</f>
        <v>0.48502150790556703</v>
      </c>
      <c r="F22" s="43">
        <f>F34/$B$5</f>
        <v>0.45894508274935369</v>
      </c>
      <c r="G22" s="43">
        <f>G34/$B$5</f>
        <v>0.43286865759314047</v>
      </c>
      <c r="H22" s="43">
        <f>H34/$B$5</f>
        <v>0.40679223243692719</v>
      </c>
      <c r="I22" s="43">
        <f>I34/$B$5</f>
        <v>0.38071580728071397</v>
      </c>
      <c r="J22" s="43">
        <f>J34/$B$5</f>
        <v>0.35463938212450058</v>
      </c>
      <c r="K22" s="43">
        <f>K34/$B$5</f>
        <v>0.3285629569682873</v>
      </c>
      <c r="L22" s="43">
        <f>L34/$B$5</f>
        <v>0.30248653181207402</v>
      </c>
      <c r="M22" s="43">
        <f>M34/$B$5</f>
        <v>0.2764101066558608</v>
      </c>
      <c r="N22" s="43">
        <f>N34/$B$5</f>
        <v>0.25033368149964752</v>
      </c>
      <c r="O22" s="44">
        <f>O34/$B$5</f>
        <v>0.22425725634343421</v>
      </c>
    </row>
    <row r="23" spans="1:23"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</row>
    <row r="24" spans="1:23">
      <c r="A24" t="s">
        <v>13</v>
      </c>
      <c r="B24" s="46">
        <f>((28.11+(0.001967*B25))+(0.000004802*B25^2)+(-0.000000001966*B25^3))/28.84</f>
        <v>1.0094982704510402</v>
      </c>
      <c r="C24" s="46">
        <f>((28.11+(0.001967*C25))+(0.000004802*C25^2)+(-0.000000001966*C25^3))/28.84</f>
        <v>1.01025770215319</v>
      </c>
      <c r="D24" s="46">
        <f t="shared" ref="D24:O24" si="3">((28.11+(0.001967*D25))+(0.000004802*D25^2)+(-0.000000001966*D25^3))/28.84</f>
        <v>1.0110222585536754</v>
      </c>
      <c r="E24" s="46">
        <f t="shared" si="3"/>
        <v>1.0117918885255894</v>
      </c>
      <c r="F24" s="46">
        <f t="shared" si="3"/>
        <v>1.012566540942025</v>
      </c>
      <c r="G24" s="46">
        <f t="shared" si="3"/>
        <v>1.0133461646760749</v>
      </c>
      <c r="H24" s="46">
        <f t="shared" si="3"/>
        <v>1.0141307086008322</v>
      </c>
      <c r="I24" s="46">
        <f t="shared" si="3"/>
        <v>1.0149201215893897</v>
      </c>
      <c r="J24" s="46">
        <f t="shared" si="3"/>
        <v>1.0157143525148404</v>
      </c>
      <c r="K24" s="46">
        <f t="shared" si="3"/>
        <v>1.0165133502502774</v>
      </c>
      <c r="L24" s="46">
        <f t="shared" si="3"/>
        <v>1.0173170636687934</v>
      </c>
      <c r="M24" s="46">
        <f t="shared" si="3"/>
        <v>1.0181254416434811</v>
      </c>
      <c r="N24" s="46">
        <f t="shared" si="3"/>
        <v>1.0189384330474343</v>
      </c>
      <c r="O24" s="46">
        <f t="shared" si="3"/>
        <v>1.0197559867537449</v>
      </c>
      <c r="P24" s="46"/>
      <c r="Q24" s="46"/>
      <c r="R24" s="46"/>
      <c r="S24" s="46"/>
      <c r="T24" s="46"/>
      <c r="U24" s="46"/>
      <c r="V24" s="46"/>
      <c r="W24" s="46"/>
    </row>
    <row r="25" spans="1:23">
      <c r="A25" t="s">
        <v>14</v>
      </c>
      <c r="B25" s="46">
        <f>B18+273</f>
        <v>308</v>
      </c>
      <c r="C25" s="46">
        <f>C18+273</f>
        <v>313</v>
      </c>
      <c r="D25" s="46">
        <f t="shared" ref="D25:O25" si="4">D18+273</f>
        <v>318</v>
      </c>
      <c r="E25" s="46">
        <f t="shared" si="4"/>
        <v>323</v>
      </c>
      <c r="F25" s="46">
        <f t="shared" si="4"/>
        <v>328</v>
      </c>
      <c r="G25" s="46">
        <f t="shared" si="4"/>
        <v>333</v>
      </c>
      <c r="H25" s="46">
        <f t="shared" si="4"/>
        <v>338</v>
      </c>
      <c r="I25" s="46">
        <f t="shared" si="4"/>
        <v>343</v>
      </c>
      <c r="J25" s="46">
        <f t="shared" si="4"/>
        <v>348</v>
      </c>
      <c r="K25" s="46">
        <f t="shared" si="4"/>
        <v>353</v>
      </c>
      <c r="L25" s="46">
        <f t="shared" si="4"/>
        <v>358</v>
      </c>
      <c r="M25" s="46">
        <f t="shared" si="4"/>
        <v>363</v>
      </c>
      <c r="N25" s="46">
        <f t="shared" si="4"/>
        <v>368</v>
      </c>
      <c r="O25" s="46">
        <f t="shared" si="4"/>
        <v>373</v>
      </c>
      <c r="P25" s="46"/>
      <c r="Q25" s="46"/>
      <c r="R25" s="46"/>
      <c r="S25" s="46"/>
      <c r="T25" s="46"/>
      <c r="U25" s="46"/>
      <c r="V25" s="46"/>
      <c r="W25" s="46"/>
    </row>
    <row r="26" spans="1:23">
      <c r="A26" t="s">
        <v>16</v>
      </c>
      <c r="B26" s="46">
        <f>$B$9</f>
        <v>0.3036666666666667</v>
      </c>
      <c r="C26" s="46">
        <f>$B$9</f>
        <v>0.3036666666666667</v>
      </c>
      <c r="D26" s="46">
        <f t="shared" ref="D26:O26" si="5">$B$9</f>
        <v>0.3036666666666667</v>
      </c>
      <c r="E26" s="46">
        <f t="shared" si="5"/>
        <v>0.3036666666666667</v>
      </c>
      <c r="F26" s="46">
        <f t="shared" si="5"/>
        <v>0.3036666666666667</v>
      </c>
      <c r="G26" s="46">
        <f t="shared" si="5"/>
        <v>0.3036666666666667</v>
      </c>
      <c r="H26" s="46">
        <f t="shared" si="5"/>
        <v>0.3036666666666667</v>
      </c>
      <c r="I26" s="46">
        <f t="shared" si="5"/>
        <v>0.3036666666666667</v>
      </c>
      <c r="J26" s="46">
        <f t="shared" si="5"/>
        <v>0.3036666666666667</v>
      </c>
      <c r="K26" s="46">
        <f t="shared" si="5"/>
        <v>0.3036666666666667</v>
      </c>
      <c r="L26" s="46">
        <f t="shared" si="5"/>
        <v>0.3036666666666667</v>
      </c>
      <c r="M26" s="46">
        <f t="shared" si="5"/>
        <v>0.3036666666666667</v>
      </c>
      <c r="N26" s="46">
        <f t="shared" si="5"/>
        <v>0.3036666666666667</v>
      </c>
      <c r="O26" s="46">
        <f t="shared" si="5"/>
        <v>0.3036666666666667</v>
      </c>
      <c r="P26" s="46"/>
      <c r="Q26" s="46"/>
      <c r="R26" s="46"/>
      <c r="S26" s="46"/>
      <c r="T26" s="46"/>
      <c r="U26" s="46"/>
      <c r="V26" s="46"/>
      <c r="W26" s="46"/>
    </row>
    <row r="27" spans="1:23">
      <c r="A27" t="s">
        <v>31</v>
      </c>
      <c r="B27" s="46">
        <f>(B25-$B$14)/$B$13</f>
        <v>0</v>
      </c>
      <c r="C27" s="46">
        <f>(C25-$B$14)/$B$13</f>
        <v>1.198335154682471</v>
      </c>
      <c r="D27" s="46">
        <f t="shared" ref="D27:O27" si="6">(D25-$B$14)/$B$13</f>
        <v>2.396670309364942</v>
      </c>
      <c r="E27" s="46">
        <f t="shared" si="6"/>
        <v>3.5950054640474129</v>
      </c>
      <c r="F27" s="46">
        <f t="shared" si="6"/>
        <v>4.7933406187298839</v>
      </c>
      <c r="G27" s="46">
        <f t="shared" si="6"/>
        <v>5.9916757734123545</v>
      </c>
      <c r="H27" s="46">
        <f t="shared" si="6"/>
        <v>7.1900109280948259</v>
      </c>
      <c r="I27" s="46">
        <f t="shared" si="6"/>
        <v>8.3883460827772964</v>
      </c>
      <c r="J27" s="46">
        <f t="shared" si="6"/>
        <v>9.5866812374597679</v>
      </c>
      <c r="K27" s="46">
        <f t="shared" si="6"/>
        <v>10.785016392142239</v>
      </c>
      <c r="L27" s="46">
        <f t="shared" si="6"/>
        <v>11.983351546824709</v>
      </c>
      <c r="M27" s="46">
        <f t="shared" si="6"/>
        <v>13.18168670150718</v>
      </c>
      <c r="N27" s="46">
        <f t="shared" si="6"/>
        <v>14.380021856189652</v>
      </c>
      <c r="O27" s="46">
        <f t="shared" si="6"/>
        <v>15.578357010872123</v>
      </c>
      <c r="P27" s="46"/>
      <c r="Q27" s="46"/>
      <c r="R27" s="46"/>
      <c r="S27" s="46"/>
      <c r="T27" s="46"/>
      <c r="U27" s="46"/>
      <c r="V27" s="46"/>
      <c r="W27" s="46"/>
    </row>
    <row r="29" spans="1:23">
      <c r="A29" t="s">
        <v>32</v>
      </c>
      <c r="B29" s="46">
        <f>$B$7*($B$6-B18)*$B$9</f>
        <v>33.680436733051422</v>
      </c>
      <c r="C29" s="46">
        <f>$B$7*($B$6-C18)*$B$9</f>
        <v>32.121157254669413</v>
      </c>
      <c r="D29" s="46">
        <f>$B$7*($B$6-D18)*$B$9</f>
        <v>30.561877776287403</v>
      </c>
      <c r="E29" s="46">
        <f>$B$7*($B$6-E18)*$B$9</f>
        <v>29.002598297905394</v>
      </c>
      <c r="F29" s="46">
        <f>$B$7*($B$6-F18)*$B$9</f>
        <v>27.44331881952338</v>
      </c>
      <c r="G29" s="46">
        <f>$B$7*($B$6-G18)*$B$9</f>
        <v>25.884039341141371</v>
      </c>
      <c r="H29" s="46">
        <f>$B$7*($B$6-H18)*$B$9</f>
        <v>24.324759862759361</v>
      </c>
      <c r="I29" s="46">
        <f>$B$7*($B$6-I18)*$B$9</f>
        <v>22.765480384377351</v>
      </c>
      <c r="J29" s="46">
        <f>$B$7*($B$6-J18)*$B$9</f>
        <v>21.206200905995338</v>
      </c>
      <c r="K29" s="46">
        <f>$B$7*($B$6-K18)*$B$9</f>
        <v>19.646921427613329</v>
      </c>
      <c r="L29" s="46">
        <f>$B$7*($B$6-L18)*$B$9</f>
        <v>18.087641949231319</v>
      </c>
      <c r="M29" s="46">
        <f>$B$7*($B$6-M18)*$B$9</f>
        <v>16.528362470849309</v>
      </c>
      <c r="N29" s="46">
        <f>$B$7*($B$6-N18)*$B$9</f>
        <v>14.9690829924673</v>
      </c>
      <c r="O29" s="46">
        <f>$B$7*($B$6-O18)*$B$9</f>
        <v>13.40980351408529</v>
      </c>
    </row>
    <row r="30" spans="1:23">
      <c r="A30" t="s">
        <v>33</v>
      </c>
      <c r="B30">
        <v>25</v>
      </c>
    </row>
    <row r="31" spans="1:23">
      <c r="A31" t="s">
        <v>34</v>
      </c>
      <c r="B31">
        <v>4.2</v>
      </c>
    </row>
    <row r="32" spans="1:23">
      <c r="A32" t="s">
        <v>35</v>
      </c>
      <c r="B32">
        <v>2260</v>
      </c>
    </row>
    <row r="33" spans="1:15">
      <c r="A33" t="s">
        <v>36</v>
      </c>
      <c r="B33">
        <f>((B6-B30)*B31)+B32</f>
        <v>2755.6</v>
      </c>
    </row>
    <row r="34" spans="1:15">
      <c r="A34" t="s">
        <v>37</v>
      </c>
      <c r="B34" s="47">
        <f>B29/$B$33</f>
        <v>1.2222541999220288E-2</v>
      </c>
      <c r="C34" s="47">
        <f t="shared" ref="C34:O34" si="7">C29/$B$33</f>
        <v>1.1656683573330459E-2</v>
      </c>
      <c r="D34" s="47">
        <f t="shared" si="7"/>
        <v>1.1090825147440631E-2</v>
      </c>
      <c r="E34" s="47">
        <f t="shared" si="7"/>
        <v>1.0524966721550804E-2</v>
      </c>
      <c r="F34" s="47">
        <f t="shared" si="7"/>
        <v>9.9591082956609744E-3</v>
      </c>
      <c r="G34" s="47">
        <f t="shared" si="7"/>
        <v>9.3932498697711468E-3</v>
      </c>
      <c r="H34" s="47">
        <f t="shared" si="7"/>
        <v>8.8273914438813193E-3</v>
      </c>
      <c r="I34" s="47">
        <f t="shared" si="7"/>
        <v>8.2615330179914917E-3</v>
      </c>
      <c r="J34" s="47">
        <f t="shared" si="7"/>
        <v>7.6956745921016615E-3</v>
      </c>
      <c r="K34" s="47">
        <f t="shared" si="7"/>
        <v>7.129816166211834E-3</v>
      </c>
      <c r="L34" s="47">
        <f t="shared" si="7"/>
        <v>6.5639577403220056E-3</v>
      </c>
      <c r="M34" s="47">
        <f t="shared" si="7"/>
        <v>5.998099314432178E-3</v>
      </c>
      <c r="N34" s="47">
        <f t="shared" si="7"/>
        <v>5.4322408885423504E-3</v>
      </c>
      <c r="O34" s="47">
        <f t="shared" si="7"/>
        <v>4.866382462652522E-3</v>
      </c>
    </row>
  </sheetData>
  <mergeCells count="3">
    <mergeCell ref="E1:G1"/>
    <mergeCell ref="E2:G2"/>
    <mergeCell ref="E12:G14"/>
  </mergeCells>
  <dataValidations count="1">
    <dataValidation type="list" allowBlank="1" showInputMessage="1" showErrorMessage="1" sqref="B3">
      <formula1>$E$4:$E$10</formula1>
    </dataValidation>
  </dataValidation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 worksheet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Chappenden</dc:creator>
  <cp:lastModifiedBy>Thomas Chappenden</cp:lastModifiedBy>
  <dcterms:created xsi:type="dcterms:W3CDTF">2020-08-23T13:57:16Z</dcterms:created>
  <dcterms:modified xsi:type="dcterms:W3CDTF">2020-08-23T13:57:48Z</dcterms:modified>
</cp:coreProperties>
</file>